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2F521501-C046-468B-87D6-1BAD8D4AEFED}" xr6:coauthVersionLast="47" xr6:coauthVersionMax="47" xr10:uidLastSave="{00000000-0000-0000-0000-000000000000}"/>
  <bookViews>
    <workbookView xWindow="-108" yWindow="-108" windowWidth="23256" windowHeight="12456" activeTab="2" xr2:uid="{A83E97EA-8CFA-437B-9B18-1E06A9597169}"/>
  </bookViews>
  <sheets>
    <sheet name="ATTENDANCE" sheetId="1" r:id="rId1"/>
    <sheet name="SALARY" sheetId="2" r:id="rId2"/>
    <sheet name="SLIP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3" l="1"/>
  <c r="H18" i="3"/>
  <c r="H17" i="3"/>
  <c r="H15" i="3"/>
  <c r="E18" i="3"/>
  <c r="E17" i="3"/>
  <c r="E16" i="3"/>
  <c r="E10" i="3"/>
  <c r="E9" i="3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5" i="2"/>
  <c r="A1" i="2"/>
  <c r="E3" i="1"/>
  <c r="AK9" i="1" l="1"/>
  <c r="AN14" i="1"/>
  <c r="AK17" i="1"/>
  <c r="AK11" i="1"/>
  <c r="AN23" i="1"/>
  <c r="AN22" i="1"/>
  <c r="AN11" i="1"/>
  <c r="AK22" i="1"/>
  <c r="AK10" i="1"/>
  <c r="AN10" i="1"/>
  <c r="AN18" i="1"/>
  <c r="AN16" i="1"/>
  <c r="AK23" i="1"/>
  <c r="AK15" i="1"/>
  <c r="AK13" i="1"/>
  <c r="AK12" i="1"/>
  <c r="AN13" i="1"/>
  <c r="AN21" i="1"/>
  <c r="AN12" i="1"/>
  <c r="AN20" i="1"/>
  <c r="AK19" i="1"/>
  <c r="AK21" i="1"/>
  <c r="AK18" i="1"/>
  <c r="AN19" i="1"/>
  <c r="AK16" i="1"/>
  <c r="AN17" i="1"/>
  <c r="AN9" i="1"/>
  <c r="AN15" i="1"/>
  <c r="AK20" i="1"/>
  <c r="AK14" i="1"/>
  <c r="C5" i="1"/>
  <c r="D5" i="1" s="1"/>
  <c r="E6" i="1" l="1"/>
  <c r="E7" i="1" l="1"/>
  <c r="F6" i="1"/>
  <c r="G6" i="1" l="1"/>
  <c r="F7" i="1"/>
  <c r="H6" i="1" l="1"/>
  <c r="G7" i="1"/>
  <c r="I6" i="1" l="1"/>
  <c r="H7" i="1"/>
  <c r="J6" i="1" l="1"/>
  <c r="I7" i="1"/>
  <c r="K6" i="1" l="1"/>
  <c r="J7" i="1"/>
  <c r="L6" i="1" l="1"/>
  <c r="K7" i="1"/>
  <c r="M6" i="1" l="1"/>
  <c r="L7" i="1"/>
  <c r="N6" i="1" l="1"/>
  <c r="M7" i="1"/>
  <c r="O6" i="1" l="1"/>
  <c r="N7" i="1"/>
  <c r="P6" i="1" l="1"/>
  <c r="O7" i="1"/>
  <c r="Q6" i="1" l="1"/>
  <c r="P7" i="1"/>
  <c r="R6" i="1" l="1"/>
  <c r="Q7" i="1"/>
  <c r="S6" i="1" l="1"/>
  <c r="R7" i="1"/>
  <c r="T6" i="1" l="1"/>
  <c r="S7" i="1"/>
  <c r="U6" i="1" l="1"/>
  <c r="T7" i="1"/>
  <c r="V6" i="1" l="1"/>
  <c r="U7" i="1"/>
  <c r="W6" i="1" l="1"/>
  <c r="V7" i="1"/>
  <c r="X6" i="1" l="1"/>
  <c r="W7" i="1"/>
  <c r="Y6" i="1" l="1"/>
  <c r="X7" i="1"/>
  <c r="Z6" i="1" l="1"/>
  <c r="Y7" i="1"/>
  <c r="AA6" i="1" l="1"/>
  <c r="Z7" i="1"/>
  <c r="AB6" i="1" l="1"/>
  <c r="AA7" i="1"/>
  <c r="AC6" i="1" l="1"/>
  <c r="AB7" i="1"/>
  <c r="AD6" i="1" l="1"/>
  <c r="AC7" i="1"/>
  <c r="AE6" i="1" l="1"/>
  <c r="AD7" i="1"/>
  <c r="AF6" i="1" l="1"/>
  <c r="AE7" i="1"/>
  <c r="AG6" i="1" l="1"/>
  <c r="AF7" i="1"/>
  <c r="AH6" i="1" l="1"/>
  <c r="AG7" i="1"/>
  <c r="AI6" i="1" l="1"/>
  <c r="AH7" i="1"/>
  <c r="AJ21" i="1" l="1"/>
  <c r="AJ11" i="1"/>
  <c r="AJ23" i="1"/>
  <c r="AJ9" i="1"/>
  <c r="AJ13" i="1"/>
  <c r="AJ16" i="1"/>
  <c r="AJ22" i="1"/>
  <c r="AJ15" i="1"/>
  <c r="AJ17" i="1"/>
  <c r="AJ12" i="1"/>
  <c r="AJ10" i="1"/>
  <c r="AJ14" i="1"/>
  <c r="AJ20" i="1"/>
  <c r="AJ19" i="1"/>
  <c r="AJ18" i="1"/>
  <c r="AO6" i="1"/>
  <c r="AP6" i="1" s="1"/>
  <c r="AQ6" i="1" s="1"/>
  <c r="AR6" i="1" s="1"/>
  <c r="AS6" i="1" s="1"/>
  <c r="AI7" i="1"/>
  <c r="AL14" i="1" l="1"/>
  <c r="E10" i="2"/>
  <c r="G10" i="2" s="1"/>
  <c r="AL10" i="1"/>
  <c r="E6" i="2"/>
  <c r="G6" i="2" s="1"/>
  <c r="AL12" i="1"/>
  <c r="E8" i="2"/>
  <c r="G8" i="2" s="1"/>
  <c r="AL17" i="1"/>
  <c r="F13" i="2" s="1"/>
  <c r="E13" i="2"/>
  <c r="G13" i="2" s="1"/>
  <c r="AL15" i="1"/>
  <c r="E11" i="2"/>
  <c r="AL22" i="1"/>
  <c r="F18" i="2" s="1"/>
  <c r="E18" i="2"/>
  <c r="G18" i="2" s="1"/>
  <c r="AL16" i="1"/>
  <c r="E12" i="2"/>
  <c r="G12" i="2" s="1"/>
  <c r="AL13" i="1"/>
  <c r="E9" i="2"/>
  <c r="G9" i="2" s="1"/>
  <c r="AL9" i="1"/>
  <c r="E5" i="2"/>
  <c r="G5" i="2" s="1"/>
  <c r="AL18" i="1"/>
  <c r="E14" i="2"/>
  <c r="G14" i="2" s="1"/>
  <c r="AL23" i="1"/>
  <c r="F19" i="2" s="1"/>
  <c r="E19" i="2"/>
  <c r="G19" i="2" s="1"/>
  <c r="AL19" i="1"/>
  <c r="F15" i="2" s="1"/>
  <c r="E15" i="2"/>
  <c r="G15" i="2" s="1"/>
  <c r="AL11" i="1"/>
  <c r="E7" i="2"/>
  <c r="G7" i="2" s="1"/>
  <c r="AL20" i="1"/>
  <c r="E16" i="2"/>
  <c r="G16" i="2" s="1"/>
  <c r="AL21" i="1"/>
  <c r="F17" i="2" s="1"/>
  <c r="E17" i="2"/>
  <c r="G17" i="2" s="1"/>
  <c r="AM20" i="1"/>
  <c r="AM12" i="1"/>
  <c r="AM13" i="1"/>
  <c r="AM15" i="1"/>
  <c r="AM16" i="1"/>
  <c r="AM14" i="1"/>
  <c r="AM17" i="1"/>
  <c r="AM22" i="1"/>
  <c r="AM21" i="1"/>
  <c r="AM19" i="1"/>
  <c r="AM11" i="1"/>
  <c r="AM23" i="1"/>
  <c r="AM18" i="1"/>
  <c r="AM10" i="1"/>
  <c r="AM9" i="1"/>
  <c r="H17" i="2" l="1"/>
  <c r="N18" i="2"/>
  <c r="H18" i="2"/>
  <c r="O18" i="2" s="1"/>
  <c r="Q18" i="2" s="1"/>
  <c r="R18" i="2" s="1"/>
  <c r="N19" i="2"/>
  <c r="N14" i="2"/>
  <c r="H13" i="2"/>
  <c r="N16" i="2"/>
  <c r="O16" i="2"/>
  <c r="Q16" i="2" s="1"/>
  <c r="R16" i="2" s="1"/>
  <c r="N6" i="2"/>
  <c r="O6" i="2"/>
  <c r="Q6" i="2" s="1"/>
  <c r="R6" i="2" s="1"/>
  <c r="N7" i="2"/>
  <c r="N12" i="2"/>
  <c r="N10" i="2"/>
  <c r="N15" i="2"/>
  <c r="H15" i="2"/>
  <c r="O15" i="2" s="1"/>
  <c r="Q15" i="2" s="1"/>
  <c r="R15" i="2" s="1"/>
  <c r="G11" i="2"/>
  <c r="H8" i="3"/>
  <c r="H19" i="2"/>
  <c r="O19" i="2" s="1"/>
  <c r="Q19" i="2" s="1"/>
  <c r="R19" i="2" s="1"/>
  <c r="N13" i="2"/>
  <c r="N17" i="2"/>
  <c r="O17" i="2"/>
  <c r="Q17" i="2" s="1"/>
  <c r="R17" i="2" s="1"/>
  <c r="N5" i="2"/>
  <c r="O5" i="2"/>
  <c r="Q5" i="2" s="1"/>
  <c r="R5" i="2" s="1"/>
  <c r="N8" i="2"/>
  <c r="N9" i="2"/>
  <c r="F11" i="2"/>
  <c r="F14" i="2"/>
  <c r="H14" i="2" s="1"/>
  <c r="F5" i="2"/>
  <c r="H5" i="2" s="1"/>
  <c r="F8" i="2"/>
  <c r="H8" i="2" s="1"/>
  <c r="F16" i="2"/>
  <c r="H16" i="2" s="1"/>
  <c r="F9" i="2"/>
  <c r="H9" i="2" s="1"/>
  <c r="F6" i="2"/>
  <c r="H6" i="2" s="1"/>
  <c r="F7" i="2"/>
  <c r="H7" i="2" s="1"/>
  <c r="F12" i="2"/>
  <c r="H12" i="2" s="1"/>
  <c r="F10" i="2"/>
  <c r="H10" i="2" s="1"/>
  <c r="O8" i="2" l="1"/>
  <c r="Q8" i="2" s="1"/>
  <c r="R8" i="2" s="1"/>
  <c r="O10" i="2"/>
  <c r="Q10" i="2" s="1"/>
  <c r="R10" i="2" s="1"/>
  <c r="O12" i="2"/>
  <c r="Q12" i="2" s="1"/>
  <c r="R12" i="2" s="1"/>
  <c r="O7" i="2"/>
  <c r="Q7" i="2" s="1"/>
  <c r="R7" i="2" s="1"/>
  <c r="O13" i="2"/>
  <c r="Q13" i="2" s="1"/>
  <c r="R13" i="2" s="1"/>
  <c r="O14" i="2"/>
  <c r="Q14" i="2" s="1"/>
  <c r="R14" i="2" s="1"/>
  <c r="O9" i="2"/>
  <c r="Q9" i="2" s="1"/>
  <c r="R9" i="2" s="1"/>
  <c r="H11" i="2"/>
  <c r="E15" i="3" s="1"/>
  <c r="H9" i="3"/>
  <c r="N11" i="2"/>
  <c r="E19" i="3" s="1"/>
  <c r="O11" i="2" l="1"/>
  <c r="Q11" i="2" s="1"/>
  <c r="E20" i="3"/>
  <c r="H16" i="3" l="1"/>
  <c r="H20" i="3" s="1"/>
  <c r="R11" i="2"/>
</calcChain>
</file>

<file path=xl/sharedStrings.xml><?xml version="1.0" encoding="utf-8"?>
<sst xmlns="http://schemas.openxmlformats.org/spreadsheetml/2006/main" count="163" uniqueCount="95">
  <si>
    <t>EMP001</t>
  </si>
  <si>
    <t>Aarav Sharma</t>
  </si>
  <si>
    <t>Priya Verma</t>
  </si>
  <si>
    <t>Rohan Gupta</t>
  </si>
  <si>
    <t>Ananya Singh</t>
  </si>
  <si>
    <t>Aditya Kumar</t>
  </si>
  <si>
    <t>Neha Yadav</t>
  </si>
  <si>
    <t>Arjun Patel</t>
  </si>
  <si>
    <t>Kavya Mishra</t>
  </si>
  <si>
    <t>Rahul Jain</t>
  </si>
  <si>
    <t>Pooja Sharma</t>
  </si>
  <si>
    <t>Vikram Thakur</t>
  </si>
  <si>
    <t>Riya Agarwal</t>
  </si>
  <si>
    <t>Aman Chauhan</t>
  </si>
  <si>
    <t>Sneha Gupta</t>
  </si>
  <si>
    <t>Deepak Verma</t>
  </si>
  <si>
    <t>EMP002</t>
  </si>
  <si>
    <t>EMP003</t>
  </si>
  <si>
    <t>EMP004</t>
  </si>
  <si>
    <t>EMP005</t>
  </si>
  <si>
    <t>EMP006</t>
  </si>
  <si>
    <t>EMP007</t>
  </si>
  <si>
    <t>EMP008</t>
  </si>
  <si>
    <t>EMP009</t>
  </si>
  <si>
    <t>EMP010</t>
  </si>
  <si>
    <t>EMP011</t>
  </si>
  <si>
    <t>EMP012</t>
  </si>
  <si>
    <t>EMP013</t>
  </si>
  <si>
    <t>EMP014</t>
  </si>
  <si>
    <t>EMP015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</si>
  <si>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</si>
  <si>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</si>
  <si>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</si>
  <si>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</si>
  <si>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</si>
  <si>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</si>
  <si>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</si>
  <si>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</si>
  <si>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</si>
  <si>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</si>
  <si>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</si>
  <si>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</si>
  <si>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</si>
  <si>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 xml:space="preserve">YEAR </t>
  </si>
  <si>
    <t>EMP_ID</t>
  </si>
  <si>
    <t>EMP_NAME</t>
  </si>
  <si>
    <t>Total day</t>
  </si>
  <si>
    <t>Present</t>
  </si>
  <si>
    <t>Holiday</t>
  </si>
  <si>
    <t>Week off</t>
  </si>
  <si>
    <t>Absent</t>
  </si>
  <si>
    <t>MUNENDRA</t>
  </si>
  <si>
    <t>Epm_ID</t>
  </si>
  <si>
    <t>EMP_Name</t>
  </si>
  <si>
    <t>Designation</t>
  </si>
  <si>
    <t>Basic Salary</t>
  </si>
  <si>
    <t>Total Days</t>
  </si>
  <si>
    <t>Attendance (Working Days)</t>
  </si>
  <si>
    <t>Per Day Salary</t>
  </si>
  <si>
    <t>Salary (Based on Attendance)</t>
  </si>
  <si>
    <t>DA (12%)</t>
  </si>
  <si>
    <t>City</t>
  </si>
  <si>
    <t>HRA</t>
  </si>
  <si>
    <t>TA</t>
  </si>
  <si>
    <t>OT in Hrs.</t>
  </si>
  <si>
    <t>Overtime Pay</t>
  </si>
  <si>
    <t>Gross Salary</t>
  </si>
  <si>
    <t>PF (12%)</t>
  </si>
  <si>
    <t>ESI (0.75%)</t>
  </si>
  <si>
    <t>Net Salary</t>
  </si>
  <si>
    <t>This is a sample salary slip generated for project purpose.</t>
  </si>
  <si>
    <t>Manager Signature.</t>
  </si>
  <si>
    <t>Employee signature.</t>
  </si>
  <si>
    <t>Earning</t>
  </si>
  <si>
    <t>Deductions</t>
  </si>
  <si>
    <t>Employee Details</t>
  </si>
  <si>
    <t>Salary Details</t>
  </si>
  <si>
    <t>FreeCourseHub Service Private Limited</t>
  </si>
  <si>
    <t>Prepared By Munendra Singh</t>
  </si>
  <si>
    <t>New Friends Colony, Rajpur Road ,dehraddun</t>
  </si>
  <si>
    <t>Salary Slip For The Month Of -</t>
  </si>
  <si>
    <t>Emp_ID</t>
  </si>
  <si>
    <t>Emp_Name</t>
  </si>
  <si>
    <t>Salary Slip Print Date</t>
  </si>
  <si>
    <t>Loan</t>
  </si>
  <si>
    <t>Tax</t>
  </si>
  <si>
    <t>Gross Deduction</t>
  </si>
  <si>
    <t>Manager</t>
  </si>
  <si>
    <t>Engineer</t>
  </si>
  <si>
    <t>Supervisor</t>
  </si>
  <si>
    <t>S.Tech.</t>
  </si>
  <si>
    <t>Tech.</t>
  </si>
  <si>
    <t>Helper</t>
  </si>
  <si>
    <t>METRO</t>
  </si>
  <si>
    <t>NON 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</si>
</sst>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"/>
    <numFmt numFmtId="165" formatCode="#&quot;Hrs&quot;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24"/>
      <color theme="0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2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 textRotation="90"/>
    </xf>
    <xf numFmtId="0" fontId="0" fillId="0" borderId="0" xfId="0" applyAlignment="1">
      <alignment horizontal="center" textRotation="90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6" borderId="10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165" fontId="0" fillId="0" borderId="1" xfId="0" applyNumberFormat="1" applyBorder="1"/>
    <xf numFmtId="0" fontId="0" fillId="0" borderId="1" xfId="0" applyBorder="1" applyAlignment="1">
      <alignment horizontal="center" vertical="center"/>
    </xf>
    <xf numFmtId="14" fontId="0" fillId="0" borderId="9" xfId="0" applyNumberFormat="1" applyBorder="1" applyAlignment="1">
      <alignment horizontal="left" vertical="center"/>
    </xf>
  </cellXfs>
  <cellStyles count="1">
    <cellStyle name="Normal" xfId="0" builtinId="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CF1B5-0846-44E1-BF90-454E2A21239D}">
  <dimension ref="C3:AS37"/>
  <sheetViews>
    <sheetView zoomScale="115" zoomScaleNormal="100" workbookViewId="0">
      <selection activeCell="C4" sqref="C4:D4"/>
    </sheetView>
  </sheetViews>
  <sheetFormatPr defaultRowHeight="14.4" x14ac:dyDescent="0.3"/>
  <cols>
    <col min="2" max="2" width="13.33203125" bestFit="1" customWidth="1"/>
    <col min="3" max="3" width="11" bestFit="1" customWidth="1"/>
    <col min="4" max="4" width="13.33203125" bestFit="1" customWidth="1"/>
    <col min="5" max="6" width="3.88671875" bestFit="1" customWidth="1"/>
    <col min="7" max="35" width="3" bestFit="1" customWidth="1"/>
    <col min="36" max="36" width="7.33203125" customWidth="1"/>
    <col min="37" max="37" width="8" bestFit="1" customWidth="1"/>
    <col min="38" max="40" width="3.5546875" bestFit="1" customWidth="1"/>
  </cols>
  <sheetData>
    <row r="3" spans="3:45" x14ac:dyDescent="0.3">
      <c r="C3" s="5" t="s">
        <v>42</v>
      </c>
      <c r="D3" s="5" t="s">
        <v>43</v>
      </c>
      <c r="E3" s="8" t="str">
        <f>"ATTENDANCESHEET -"&amp;C4&amp;" "&amp;D4&amp;""</f>
        <v>ATTENDANCESHEET -JULY 2026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9" t="s">
        <v>51</v>
      </c>
      <c r="AK3" s="9"/>
      <c r="AL3" s="9"/>
      <c r="AM3" s="9"/>
      <c r="AN3" s="9"/>
    </row>
    <row r="4" spans="3:45" x14ac:dyDescent="0.3">
      <c r="C4" s="5" t="s">
        <v>36</v>
      </c>
      <c r="D4" s="5">
        <v>2026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9"/>
      <c r="AK4" s="9"/>
      <c r="AL4" s="9"/>
      <c r="AM4" s="9"/>
      <c r="AN4" s="9"/>
    </row>
    <row r="5" spans="3:45" x14ac:dyDescent="0.3">
      <c r="C5" s="6">
        <f>DATEVALUE("1"&amp;C4&amp;D4)</f>
        <v>46204</v>
      </c>
      <c r="D5" s="6">
        <f>EOMONTH(C5,0)</f>
        <v>46234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9"/>
      <c r="AK5" s="9"/>
      <c r="AL5" s="9"/>
      <c r="AM5" s="9"/>
      <c r="AN5" s="9"/>
    </row>
    <row r="6" spans="3:45" ht="14.4" customHeight="1" x14ac:dyDescent="0.3">
      <c r="C6" s="7" t="s">
        <v>44</v>
      </c>
      <c r="D6" s="7" t="s">
        <v>45</v>
      </c>
      <c r="E6" s="1">
        <f>C5</f>
        <v>46204</v>
      </c>
      <c r="F6" s="1">
        <f>IF(E6&lt;$D$5,E6+1,"")</f>
        <v>46205</v>
      </c>
      <c r="G6" s="1">
        <f t="shared" ref="G6:AS6" si="0">IF(F6&lt;$D$5,F6+1,"")</f>
        <v>46206</v>
      </c>
      <c r="H6" s="1">
        <f t="shared" si="0"/>
        <v>46207</v>
      </c>
      <c r="I6" s="1">
        <f t="shared" si="0"/>
        <v>46208</v>
      </c>
      <c r="J6" s="1">
        <f t="shared" si="0"/>
        <v>46209</v>
      </c>
      <c r="K6" s="1">
        <f t="shared" si="0"/>
        <v>46210</v>
      </c>
      <c r="L6" s="1">
        <f t="shared" si="0"/>
        <v>46211</v>
      </c>
      <c r="M6" s="1">
        <f t="shared" si="0"/>
        <v>46212</v>
      </c>
      <c r="N6" s="1">
        <f t="shared" si="0"/>
        <v>46213</v>
      </c>
      <c r="O6" s="1">
        <f t="shared" si="0"/>
        <v>46214</v>
      </c>
      <c r="P6" s="1">
        <f t="shared" si="0"/>
        <v>46215</v>
      </c>
      <c r="Q6" s="1">
        <f t="shared" si="0"/>
        <v>46216</v>
      </c>
      <c r="R6" s="1">
        <f t="shared" si="0"/>
        <v>46217</v>
      </c>
      <c r="S6" s="1">
        <f t="shared" si="0"/>
        <v>46218</v>
      </c>
      <c r="T6" s="1">
        <f t="shared" si="0"/>
        <v>46219</v>
      </c>
      <c r="U6" s="1">
        <f t="shared" si="0"/>
        <v>46220</v>
      </c>
      <c r="V6" s="1">
        <f t="shared" si="0"/>
        <v>46221</v>
      </c>
      <c r="W6" s="1">
        <f t="shared" si="0"/>
        <v>46222</v>
      </c>
      <c r="X6" s="1">
        <f t="shared" si="0"/>
        <v>46223</v>
      </c>
      <c r="Y6" s="1">
        <f t="shared" si="0"/>
        <v>46224</v>
      </c>
      <c r="Z6" s="1">
        <f t="shared" si="0"/>
        <v>46225</v>
      </c>
      <c r="AA6" s="1">
        <f t="shared" si="0"/>
        <v>46226</v>
      </c>
      <c r="AB6" s="1">
        <f t="shared" si="0"/>
        <v>46227</v>
      </c>
      <c r="AC6" s="1">
        <f t="shared" si="0"/>
        <v>46228</v>
      </c>
      <c r="AD6" s="1">
        <f t="shared" si="0"/>
        <v>46229</v>
      </c>
      <c r="AE6" s="1">
        <f t="shared" si="0"/>
        <v>46230</v>
      </c>
      <c r="AF6" s="1">
        <f t="shared" si="0"/>
        <v>46231</v>
      </c>
      <c r="AG6" s="1">
        <f t="shared" si="0"/>
        <v>46232</v>
      </c>
      <c r="AH6" s="1">
        <f t="shared" si="0"/>
        <v>46233</v>
      </c>
      <c r="AI6" s="1">
        <f t="shared" si="0"/>
        <v>46234</v>
      </c>
      <c r="AJ6" s="4" t="s">
        <v>46</v>
      </c>
      <c r="AK6" s="2" t="s">
        <v>47</v>
      </c>
      <c r="AL6" s="2" t="s">
        <v>48</v>
      </c>
      <c r="AM6" s="2" t="s">
        <v>49</v>
      </c>
      <c r="AN6" s="2" t="s">
        <v>50</v>
      </c>
      <c r="AO6" s="1" t="str">
        <f t="shared" si="0"/>
        <v/>
      </c>
      <c r="AP6" s="1" t="str">
        <f t="shared" si="0"/>
        <v/>
      </c>
      <c r="AQ6" s="1" t="str">
        <f t="shared" si="0"/>
        <v/>
      </c>
      <c r="AR6" s="1" t="str">
        <f t="shared" si="0"/>
        <v/>
      </c>
      <c r="AS6" s="1" t="str">
        <f t="shared" si="0"/>
        <v/>
      </c>
    </row>
    <row r="7" spans="3:45" x14ac:dyDescent="0.3">
      <c r="C7" s="7"/>
      <c r="D7" s="7"/>
      <c r="E7" s="3" t="str">
        <f>TEXT(E6,"DDD")</f>
        <v>Wed</v>
      </c>
      <c r="F7" s="3" t="str">
        <f t="shared" ref="F7:AI7" si="1">TEXT(F6,"DDD")</f>
        <v>Thu</v>
      </c>
      <c r="G7" s="3" t="str">
        <f t="shared" si="1"/>
        <v>Fri</v>
      </c>
      <c r="H7" s="3" t="str">
        <f t="shared" si="1"/>
        <v>Sat</v>
      </c>
      <c r="I7" s="3" t="str">
        <f t="shared" si="1"/>
        <v>Sun</v>
      </c>
      <c r="J7" s="3" t="str">
        <f t="shared" si="1"/>
        <v>Mon</v>
      </c>
      <c r="K7" s="3" t="str">
        <f t="shared" si="1"/>
        <v>Tue</v>
      </c>
      <c r="L7" s="3" t="str">
        <f t="shared" si="1"/>
        <v>Wed</v>
      </c>
      <c r="M7" s="3" t="str">
        <f t="shared" si="1"/>
        <v>Thu</v>
      </c>
      <c r="N7" s="3" t="str">
        <f t="shared" si="1"/>
        <v>Fri</v>
      </c>
      <c r="O7" s="3" t="str">
        <f t="shared" si="1"/>
        <v>Sat</v>
      </c>
      <c r="P7" s="3" t="str">
        <f t="shared" si="1"/>
        <v>Sun</v>
      </c>
      <c r="Q7" s="3" t="str">
        <f t="shared" si="1"/>
        <v>Mon</v>
      </c>
      <c r="R7" s="3" t="str">
        <f t="shared" si="1"/>
        <v>Tue</v>
      </c>
      <c r="S7" s="3" t="str">
        <f t="shared" si="1"/>
        <v>Wed</v>
      </c>
      <c r="T7" s="3" t="str">
        <f t="shared" si="1"/>
        <v>Thu</v>
      </c>
      <c r="U7" s="3" t="str">
        <f t="shared" si="1"/>
        <v>Fri</v>
      </c>
      <c r="V7" s="3" t="str">
        <f t="shared" si="1"/>
        <v>Sat</v>
      </c>
      <c r="W7" s="3" t="str">
        <f t="shared" si="1"/>
        <v>Sun</v>
      </c>
      <c r="X7" s="3" t="str">
        <f t="shared" si="1"/>
        <v>Mon</v>
      </c>
      <c r="Y7" s="3" t="str">
        <f t="shared" si="1"/>
        <v>Tue</v>
      </c>
      <c r="Z7" s="3" t="str">
        <f t="shared" si="1"/>
        <v>Wed</v>
      </c>
      <c r="AA7" s="3" t="str">
        <f t="shared" si="1"/>
        <v>Thu</v>
      </c>
      <c r="AB7" s="3" t="str">
        <f t="shared" si="1"/>
        <v>Fri</v>
      </c>
      <c r="AC7" s="3" t="str">
        <f t="shared" si="1"/>
        <v>Sat</v>
      </c>
      <c r="AD7" s="3" t="str">
        <f t="shared" si="1"/>
        <v>Sun</v>
      </c>
      <c r="AE7" s="3" t="str">
        <f t="shared" si="1"/>
        <v>Mon</v>
      </c>
      <c r="AF7" s="3" t="str">
        <f t="shared" si="1"/>
        <v>Tue</v>
      </c>
      <c r="AG7" s="3" t="str">
        <f t="shared" si="1"/>
        <v>Wed</v>
      </c>
      <c r="AH7" s="3" t="str">
        <f t="shared" si="1"/>
        <v>Thu</v>
      </c>
      <c r="AI7" s="3" t="str">
        <f t="shared" si="1"/>
        <v>Fri</v>
      </c>
      <c r="AJ7" s="4"/>
      <c r="AK7" s="2"/>
      <c r="AL7" s="2"/>
      <c r="AM7" s="2"/>
      <c r="AN7" s="2"/>
    </row>
    <row r="8" spans="3:45" x14ac:dyDescent="0.3">
      <c r="C8" s="7"/>
      <c r="D8" s="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4"/>
      <c r="AK8" s="2"/>
      <c r="AL8" s="2"/>
      <c r="AM8" s="2"/>
      <c r="AN8" s="2"/>
    </row>
    <row r="9" spans="3:45" x14ac:dyDescent="0.3">
      <c r="C9" s="5" t="s">
        <v>0</v>
      </c>
      <c r="D9" s="5" t="s">
        <v>1</v>
      </c>
      <c r="AJ9">
        <f>COUNT($E$6:$AI$6)</f>
        <v>31</v>
      </c>
      <c r="AK9">
        <f>COUNTIF(E9:AI9,"P")</f>
        <v>0</v>
      </c>
      <c r="AL9">
        <f>COUNTIF(F9:AJ9,"H")</f>
        <v>0</v>
      </c>
      <c r="AM9">
        <f>COUNTIF($E$7:$AI$8,"Sun")</f>
        <v>4</v>
      </c>
      <c r="AN9">
        <f>COUNTIF(E9:AI9,"A")</f>
        <v>0</v>
      </c>
    </row>
    <row r="10" spans="3:45" x14ac:dyDescent="0.3">
      <c r="C10" s="5" t="s">
        <v>16</v>
      </c>
      <c r="D10" s="5" t="s">
        <v>2</v>
      </c>
      <c r="AJ10">
        <f t="shared" ref="AJ10:AJ23" si="2">COUNT($E$6:$AI$6)</f>
        <v>31</v>
      </c>
      <c r="AK10">
        <f t="shared" ref="AK10:AK23" si="3">COUNTIF(E10:AI10,"P")</f>
        <v>0</v>
      </c>
      <c r="AL10">
        <f t="shared" ref="AL10:AL23" si="4">COUNTIF(F10:AJ10,"H")</f>
        <v>0</v>
      </c>
      <c r="AM10">
        <f t="shared" ref="AM10:AM23" si="5">COUNTIF($E$7:$AI$8,"Sun")</f>
        <v>4</v>
      </c>
      <c r="AN10">
        <f t="shared" ref="AN10:AN23" si="6">COUNTIF(E10:AI10,"A")</f>
        <v>0</v>
      </c>
    </row>
    <row r="11" spans="3:45" x14ac:dyDescent="0.3">
      <c r="C11" s="5" t="s">
        <v>17</v>
      </c>
      <c r="D11" s="5" t="s">
        <v>3</v>
      </c>
      <c r="AJ11">
        <f t="shared" si="2"/>
        <v>31</v>
      </c>
      <c r="AK11">
        <f t="shared" si="3"/>
        <v>0</v>
      </c>
      <c r="AL11">
        <f t="shared" si="4"/>
        <v>0</v>
      </c>
      <c r="AM11">
        <f t="shared" si="5"/>
        <v>4</v>
      </c>
      <c r="AN11">
        <f t="shared" si="6"/>
        <v>0</v>
      </c>
    </row>
    <row r="12" spans="3:45" x14ac:dyDescent="0.3">
      <c r="C12" s="5" t="s">
        <v>18</v>
      </c>
      <c r="D12" s="5" t="s">
        <v>4</v>
      </c>
      <c r="AJ12">
        <f t="shared" si="2"/>
        <v>31</v>
      </c>
      <c r="AK12">
        <f t="shared" si="3"/>
        <v>0</v>
      </c>
      <c r="AL12">
        <f t="shared" si="4"/>
        <v>0</v>
      </c>
      <c r="AM12">
        <f t="shared" si="5"/>
        <v>4</v>
      </c>
      <c r="AN12">
        <f t="shared" si="6"/>
        <v>0</v>
      </c>
    </row>
    <row r="13" spans="3:45" x14ac:dyDescent="0.3">
      <c r="C13" s="5" t="s">
        <v>19</v>
      </c>
      <c r="D13" s="5" t="s">
        <v>5</v>
      </c>
      <c r="AJ13">
        <f t="shared" si="2"/>
        <v>31</v>
      </c>
      <c r="AK13">
        <f t="shared" si="3"/>
        <v>0</v>
      </c>
      <c r="AL13">
        <f t="shared" si="4"/>
        <v>0</v>
      </c>
      <c r="AM13">
        <f t="shared" si="5"/>
        <v>4</v>
      </c>
      <c r="AN13">
        <f t="shared" si="6"/>
        <v>0</v>
      </c>
    </row>
    <row r="14" spans="3:45" x14ac:dyDescent="0.3">
      <c r="C14" s="5" t="s">
        <v>20</v>
      </c>
      <c r="D14" s="5" t="s">
        <v>6</v>
      </c>
      <c r="AJ14">
        <f t="shared" si="2"/>
        <v>31</v>
      </c>
      <c r="AK14">
        <f t="shared" si="3"/>
        <v>0</v>
      </c>
      <c r="AL14">
        <f t="shared" si="4"/>
        <v>0</v>
      </c>
      <c r="AM14">
        <f t="shared" si="5"/>
        <v>4</v>
      </c>
      <c r="AN14">
        <f t="shared" si="6"/>
        <v>0</v>
      </c>
    </row>
    <row r="15" spans="3:45" x14ac:dyDescent="0.3">
      <c r="C15" s="5" t="s">
        <v>21</v>
      </c>
      <c r="D15" s="5" t="s">
        <v>7</v>
      </c>
      <c r="AJ15">
        <f t="shared" si="2"/>
        <v>31</v>
      </c>
      <c r="AK15">
        <f t="shared" si="3"/>
        <v>0</v>
      </c>
      <c r="AL15">
        <f t="shared" si="4"/>
        <v>0</v>
      </c>
      <c r="AM15">
        <f t="shared" si="5"/>
        <v>4</v>
      </c>
      <c r="AN15">
        <f t="shared" si="6"/>
        <v>0</v>
      </c>
    </row>
    <row r="16" spans="3:45" x14ac:dyDescent="0.3">
      <c r="C16" s="5" t="s">
        <v>22</v>
      </c>
      <c r="D16" s="5" t="s">
        <v>8</v>
      </c>
      <c r="AJ16">
        <f t="shared" si="2"/>
        <v>31</v>
      </c>
      <c r="AK16">
        <f t="shared" si="3"/>
        <v>0</v>
      </c>
      <c r="AL16">
        <f t="shared" si="4"/>
        <v>0</v>
      </c>
      <c r="AM16">
        <f t="shared" si="5"/>
        <v>4</v>
      </c>
      <c r="AN16">
        <f t="shared" si="6"/>
        <v>0</v>
      </c>
    </row>
    <row r="17" spans="3:40" x14ac:dyDescent="0.3">
      <c r="C17" s="5" t="s">
        <v>23</v>
      </c>
      <c r="D17" s="5" t="s">
        <v>9</v>
      </c>
      <c r="AJ17">
        <f t="shared" si="2"/>
        <v>31</v>
      </c>
      <c r="AK17">
        <f t="shared" si="3"/>
        <v>0</v>
      </c>
      <c r="AL17">
        <f t="shared" si="4"/>
        <v>0</v>
      </c>
      <c r="AM17">
        <f t="shared" si="5"/>
        <v>4</v>
      </c>
      <c r="AN17">
        <f t="shared" si="6"/>
        <v>0</v>
      </c>
    </row>
    <row r="18" spans="3:40" x14ac:dyDescent="0.3">
      <c r="C18" s="5" t="s">
        <v>24</v>
      </c>
      <c r="D18" s="5" t="s">
        <v>10</v>
      </c>
      <c r="AJ18">
        <f t="shared" si="2"/>
        <v>31</v>
      </c>
      <c r="AK18">
        <f t="shared" si="3"/>
        <v>0</v>
      </c>
      <c r="AL18">
        <f t="shared" si="4"/>
        <v>0</v>
      </c>
      <c r="AM18">
        <f t="shared" si="5"/>
        <v>4</v>
      </c>
      <c r="AN18">
        <f t="shared" si="6"/>
        <v>0</v>
      </c>
    </row>
    <row r="19" spans="3:40" x14ac:dyDescent="0.3">
      <c r="C19" s="5" t="s">
        <v>25</v>
      </c>
      <c r="D19" s="5" t="s">
        <v>11</v>
      </c>
      <c r="AJ19">
        <f t="shared" si="2"/>
        <v>31</v>
      </c>
      <c r="AK19">
        <f t="shared" si="3"/>
        <v>0</v>
      </c>
      <c r="AL19">
        <f t="shared" si="4"/>
        <v>0</v>
      </c>
      <c r="AM19">
        <f t="shared" si="5"/>
        <v>4</v>
      </c>
      <c r="AN19">
        <f t="shared" si="6"/>
        <v>0</v>
      </c>
    </row>
    <row r="20" spans="3:40" x14ac:dyDescent="0.3">
      <c r="C20" s="5" t="s">
        <v>26</v>
      </c>
      <c r="D20" s="5" t="s">
        <v>12</v>
      </c>
      <c r="AJ20">
        <f t="shared" si="2"/>
        <v>31</v>
      </c>
      <c r="AK20">
        <f t="shared" si="3"/>
        <v>0</v>
      </c>
      <c r="AL20">
        <f t="shared" si="4"/>
        <v>0</v>
      </c>
      <c r="AM20">
        <f t="shared" si="5"/>
        <v>4</v>
      </c>
      <c r="AN20">
        <f t="shared" si="6"/>
        <v>0</v>
      </c>
    </row>
    <row r="21" spans="3:40" x14ac:dyDescent="0.3">
      <c r="C21" s="5" t="s">
        <v>27</v>
      </c>
      <c r="D21" s="5" t="s">
        <v>13</v>
      </c>
      <c r="AJ21">
        <f t="shared" si="2"/>
        <v>31</v>
      </c>
      <c r="AK21">
        <f t="shared" si="3"/>
        <v>0</v>
      </c>
      <c r="AL21">
        <f t="shared" si="4"/>
        <v>0</v>
      </c>
      <c r="AM21">
        <f t="shared" si="5"/>
        <v>4</v>
      </c>
      <c r="AN21">
        <f t="shared" si="6"/>
        <v>0</v>
      </c>
    </row>
    <row r="22" spans="3:40" x14ac:dyDescent="0.3">
      <c r="C22" s="5" t="s">
        <v>28</v>
      </c>
      <c r="D22" s="5" t="s">
        <v>14</v>
      </c>
      <c r="AJ22">
        <f t="shared" si="2"/>
        <v>31</v>
      </c>
      <c r="AK22">
        <f t="shared" si="3"/>
        <v>0</v>
      </c>
      <c r="AL22">
        <f t="shared" si="4"/>
        <v>0</v>
      </c>
      <c r="AM22">
        <f t="shared" si="5"/>
        <v>4</v>
      </c>
      <c r="AN22">
        <f t="shared" si="6"/>
        <v>0</v>
      </c>
    </row>
    <row r="23" spans="3:40" x14ac:dyDescent="0.3">
      <c r="C23" s="5" t="s">
        <v>29</v>
      </c>
      <c r="D23" s="5" t="s">
        <v>15</v>
      </c>
      <c r="AJ23">
        <f t="shared" si="2"/>
        <v>31</v>
      </c>
      <c r="AK23">
        <f t="shared" si="3"/>
        <v>0</v>
      </c>
      <c r="AL23">
        <f t="shared" si="4"/>
        <v>0</v>
      </c>
      <c r="AM23">
        <f t="shared" si="5"/>
        <v>4</v>
      </c>
      <c r="AN23">
        <f t="shared" si="6"/>
        <v>0</v>
      </c>
    </row>
    <row r="26" spans="3:40" x14ac:dyDescent="0.3">
      <c r="D26" t="s">
        <v>30</v>
      </c>
    </row>
    <row r="27" spans="3:40" x14ac:dyDescent="0.3">
      <c r="D27" t="s">
        <v>31</v>
      </c>
    </row>
    <row r="28" spans="3:40" x14ac:dyDescent="0.3">
      <c r="D28" t="s">
        <v>32</v>
      </c>
    </row>
    <row r="29" spans="3:40" x14ac:dyDescent="0.3">
      <c r="D29" t="s">
        <v>33</v>
      </c>
    </row>
    <row r="30" spans="3:40" x14ac:dyDescent="0.3">
      <c r="D30" t="s">
        <v>34</v>
      </c>
    </row>
    <row r="31" spans="3:40" x14ac:dyDescent="0.3">
      <c r="D31" t="s">
        <v>35</v>
      </c>
    </row>
    <row r="32" spans="3:40" x14ac:dyDescent="0.3">
      <c r="D32" t="s">
        <v>36</v>
      </c>
    </row>
    <row r="33" spans="4:4" x14ac:dyDescent="0.3">
      <c r="D33" t="s">
        <v>37</v>
      </c>
    </row>
    <row r="34" spans="4:4" x14ac:dyDescent="0.3">
      <c r="D34" t="s">
        <v>38</v>
      </c>
    </row>
    <row r="35" spans="4:4" x14ac:dyDescent="0.3">
      <c r="D35" t="s">
        <v>39</v>
      </c>
    </row>
    <row r="36" spans="4:4" x14ac:dyDescent="0.3">
      <c r="D36" t="s">
        <v>40</v>
      </c>
    </row>
    <row r="37" spans="4:4" x14ac:dyDescent="0.3">
      <c r="D37" t="s">
        <v>41</v>
      </c>
    </row>
  </sheetData>
  <mergeCells count="40">
    <mergeCell ref="H7:H8"/>
    <mergeCell ref="E3:AI5"/>
    <mergeCell ref="AJ3:AN5"/>
    <mergeCell ref="C6:C8"/>
    <mergeCell ref="D6:D8"/>
    <mergeCell ref="E7:E8"/>
    <mergeCell ref="F7:F8"/>
    <mergeCell ref="G7:G8"/>
    <mergeCell ref="T7:T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AF7:AF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L6:AL8"/>
    <mergeCell ref="AM6:AM8"/>
    <mergeCell ref="AN6:AN8"/>
    <mergeCell ref="AG7:AG8"/>
    <mergeCell ref="AH7:AH8"/>
    <mergeCell ref="AI7:AI8"/>
    <mergeCell ref="AJ6:AJ8"/>
    <mergeCell ref="AK6:AK8"/>
  </mergeCells>
  <phoneticPr fontId="1" type="noConversion"/>
  <conditionalFormatting sqref="C6:AN8">
    <cfRule type="notContainsBlanks" dxfId="9" priority="9">
      <formula>LEN(TRIM(C6))&gt;0</formula>
    </cfRule>
  </conditionalFormatting>
  <conditionalFormatting sqref="AP8">
    <cfRule type="notContainsBlanks" dxfId="8" priority="10">
      <formula>LEN(TRIM(AP8))&gt;0</formula>
    </cfRule>
  </conditionalFormatting>
  <conditionalFormatting sqref="E6:AN23">
    <cfRule type="expression" dxfId="7" priority="7">
      <formula>E$6&lt;&gt;""</formula>
    </cfRule>
    <cfRule type="expression" priority="8">
      <formula>$E$6&lt;&gt;""</formula>
    </cfRule>
  </conditionalFormatting>
  <conditionalFormatting sqref="E9:AI23">
    <cfRule type="containsText" dxfId="6" priority="1" operator="containsText" text="P">
      <formula>NOT(ISERROR(SEARCH("P",E9)))</formula>
    </cfRule>
    <cfRule type="containsText" dxfId="5" priority="2" operator="containsText" text="A">
      <formula>NOT(ISERROR(SEARCH("A",E9)))</formula>
    </cfRule>
    <cfRule type="cellIs" dxfId="4" priority="3" operator="equal">
      <formula>"H"</formula>
    </cfRule>
    <cfRule type="expression" dxfId="3" priority="6">
      <formula>E$7="sun"</formula>
    </cfRule>
  </conditionalFormatting>
  <conditionalFormatting sqref="E6:AI6">
    <cfRule type="timePeriod" dxfId="2" priority="5" timePeriod="today">
      <formula>FLOOR(E6,1)=TODAY()</formula>
    </cfRule>
  </conditionalFormatting>
  <conditionalFormatting sqref="W6">
    <cfRule type="timePeriod" dxfId="1" priority="4" timePeriod="today">
      <formula>FLOOR(W6,1)=TODAY()</formula>
    </cfRule>
  </conditionalFormatting>
  <dataValidations count="3">
    <dataValidation type="list" allowBlank="1" showInputMessage="1" showErrorMessage="1" sqref="C4" xr:uid="{F0DA71B4-1E4D-4505-83D1-723F78FDEB2E}">
      <formula1>$D$26:$D$37</formula1>
    </dataValidation>
    <dataValidation type="list" allowBlank="1" showInputMessage="1" showErrorMessage="1" sqref="D4" xr:uid="{30688EBF-7C3F-4538-B33E-CE9AB3DA79A0}">
      <formula1>"2026,2027,2028"</formula1>
    </dataValidation>
    <dataValidation type="custom" allowBlank="1" showInputMessage="1" showErrorMessage="1" errorTitle="Weekly off" error="Attendance Entry is Not Alowed..." sqref="E9:AI23" xr:uid="{FFBEA750-9438-4AE7-80C9-88A1E6608A7D}">
      <formula1>E7&lt;&gt;"Sun"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B5DFE-1D68-4F48-886C-68004CB810B2}">
  <dimension ref="A1:R19"/>
  <sheetViews>
    <sheetView topLeftCell="A8" zoomScale="122" workbookViewId="0">
      <selection activeCell="V4" sqref="V4"/>
    </sheetView>
  </sheetViews>
  <sheetFormatPr defaultRowHeight="14.4" x14ac:dyDescent="0.3"/>
  <cols>
    <col min="1" max="1" width="7.77734375" bestFit="1" customWidth="1"/>
    <col min="2" max="2" width="13.44140625" bestFit="1" customWidth="1"/>
    <col min="3" max="3" width="10.44140625" bestFit="1" customWidth="1"/>
    <col min="4" max="4" width="6.21875" bestFit="1" customWidth="1"/>
    <col min="5" max="5" width="9.109375" bestFit="1" customWidth="1"/>
    <col min="6" max="6" width="8.21875" bestFit="1" customWidth="1"/>
    <col min="7" max="7" width="7.109375" bestFit="1" customWidth="1"/>
    <col min="9" max="9" width="8.33203125" bestFit="1" customWidth="1"/>
    <col min="10" max="10" width="11.5546875" bestFit="1" customWidth="1"/>
    <col min="11" max="11" width="6.21875" bestFit="1" customWidth="1"/>
    <col min="12" max="12" width="5.109375" bestFit="1" customWidth="1"/>
    <col min="13" max="13" width="8.77734375" bestFit="1" customWidth="1"/>
    <col min="14" max="14" width="8.33203125" bestFit="1" customWidth="1"/>
    <col min="15" max="15" width="8.21875" bestFit="1" customWidth="1"/>
    <col min="16" max="16" width="8.109375" bestFit="1" customWidth="1"/>
    <col min="17" max="17" width="7.77734375" bestFit="1" customWidth="1"/>
    <col min="18" max="18" width="8" bestFit="1" customWidth="1"/>
  </cols>
  <sheetData>
    <row r="1" spans="1:18" x14ac:dyDescent="0.3">
      <c r="A1" s="13" t="str">
        <f>"SALARYSHEET- "&amp;ATTENDANCE!C4&amp;" "&amp;ATTENDANCE!D4&amp;""</f>
        <v>SALARYSHEET- JULY 2026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 t="s">
        <v>51</v>
      </c>
      <c r="P1" s="15"/>
      <c r="Q1" s="15"/>
      <c r="R1" s="16"/>
    </row>
    <row r="2" spans="1:18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7"/>
      <c r="P2" s="18"/>
      <c r="Q2" s="18"/>
      <c r="R2" s="19"/>
    </row>
    <row r="3" spans="1:18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0"/>
      <c r="P3" s="21"/>
      <c r="Q3" s="21"/>
      <c r="R3" s="22"/>
    </row>
    <row r="4" spans="1:18" ht="57.6" x14ac:dyDescent="0.3">
      <c r="A4" s="10" t="s">
        <v>52</v>
      </c>
      <c r="B4" s="10" t="s">
        <v>53</v>
      </c>
      <c r="C4" s="10" t="s">
        <v>54</v>
      </c>
      <c r="D4" s="11" t="s">
        <v>55</v>
      </c>
      <c r="E4" s="10" t="s">
        <v>56</v>
      </c>
      <c r="F4" s="11" t="s">
        <v>57</v>
      </c>
      <c r="G4" s="11" t="s">
        <v>58</v>
      </c>
      <c r="H4" s="11" t="s">
        <v>59</v>
      </c>
      <c r="I4" s="11" t="s">
        <v>60</v>
      </c>
      <c r="J4" s="11" t="s">
        <v>61</v>
      </c>
      <c r="K4" s="11" t="s">
        <v>62</v>
      </c>
      <c r="L4" s="11" t="s">
        <v>63</v>
      </c>
      <c r="M4" s="11" t="s">
        <v>64</v>
      </c>
      <c r="N4" s="11" t="s">
        <v>65</v>
      </c>
      <c r="O4" s="11" t="s">
        <v>66</v>
      </c>
      <c r="P4" s="11" t="s">
        <v>67</v>
      </c>
      <c r="Q4" s="11" t="s">
        <v>68</v>
      </c>
      <c r="R4" s="11" t="s">
        <v>69</v>
      </c>
    </row>
    <row r="5" spans="1:18" x14ac:dyDescent="0.3">
      <c r="A5" s="5" t="s">
        <v>0</v>
      </c>
      <c r="B5" s="5" t="s">
        <v>1</v>
      </c>
      <c r="C5" s="5" t="s">
        <v>87</v>
      </c>
      <c r="D5" s="5">
        <v>30000</v>
      </c>
      <c r="E5" s="5">
        <f>ATTENDANCE!AJ9</f>
        <v>31</v>
      </c>
      <c r="F5" s="5">
        <f>SUM(ATTENDANCE!AK9:AM9)</f>
        <v>4</v>
      </c>
      <c r="G5" s="5">
        <f>D5/E5</f>
        <v>967.74193548387098</v>
      </c>
      <c r="H5" s="5">
        <f>F5*G5</f>
        <v>3870.9677419354839</v>
      </c>
      <c r="I5" s="5">
        <f>D5*12%</f>
        <v>3600</v>
      </c>
      <c r="J5" s="5" t="s">
        <v>94</v>
      </c>
      <c r="K5" s="5">
        <f>IF(J5="METRO",D5*50%,D5*40%)</f>
        <v>12000</v>
      </c>
      <c r="L5" s="5">
        <v>2000</v>
      </c>
      <c r="M5" s="61">
        <v>12</v>
      </c>
      <c r="N5" s="5">
        <f>G5/9*M5</f>
        <v>1290.3225806451615</v>
      </c>
      <c r="O5" s="5">
        <f>SUM(G5:I5,K5:L5,N5)</f>
        <v>23729.032258064519</v>
      </c>
      <c r="P5" s="5">
        <f>D5*12%</f>
        <v>3600</v>
      </c>
      <c r="Q5" s="62" t="str">
        <f>IF(O5&lt;=21000,O5*0.75%,"N/A")</f>
        <v>N/A</v>
      </c>
      <c r="R5" s="5">
        <f>IF(ISNUMBER(Q5),O5-P5-Q5,O5-P5)</f>
        <v>20129.032258064519</v>
      </c>
    </row>
    <row r="6" spans="1:18" x14ac:dyDescent="0.3">
      <c r="A6" s="5" t="s">
        <v>16</v>
      </c>
      <c r="B6" s="5" t="s">
        <v>2</v>
      </c>
      <c r="C6" s="5" t="s">
        <v>88</v>
      </c>
      <c r="D6" s="5">
        <v>25000</v>
      </c>
      <c r="E6" s="5">
        <f>ATTENDANCE!AJ10</f>
        <v>31</v>
      </c>
      <c r="F6" s="5">
        <f>SUM(ATTENDANCE!AK10:AM10)</f>
        <v>4</v>
      </c>
      <c r="G6" s="5">
        <f t="shared" ref="G6:G19" si="0">D6/E6</f>
        <v>806.45161290322585</v>
      </c>
      <c r="H6" s="5">
        <f t="shared" ref="H6:H19" si="1">F6*G6</f>
        <v>3225.8064516129034</v>
      </c>
      <c r="I6" s="5">
        <f t="shared" ref="I6:I19" si="2">D6*12%</f>
        <v>3000</v>
      </c>
      <c r="J6" s="5" t="s">
        <v>93</v>
      </c>
      <c r="K6" s="5">
        <f t="shared" ref="K6:K19" si="3">IF(J6="METRO",D6*50%,D6*40%)</f>
        <v>12500</v>
      </c>
      <c r="L6" s="5">
        <v>1000</v>
      </c>
      <c r="M6" s="61">
        <v>15</v>
      </c>
      <c r="N6" s="5">
        <f t="shared" ref="N6:N19" si="4">G6/9*M6</f>
        <v>1344.0860215053765</v>
      </c>
      <c r="O6" s="5">
        <f t="shared" ref="O6:O19" si="5">SUM(G6:I6,K6:L6,N6)</f>
        <v>21876.344086021505</v>
      </c>
      <c r="P6" s="5">
        <f t="shared" ref="P6:P19" si="6">D6*12%</f>
        <v>3000</v>
      </c>
      <c r="Q6" s="62" t="str">
        <f t="shared" ref="Q6:Q19" si="7">IF(O6&lt;=21000,O6*0.75%,"N/A")</f>
        <v>N/A</v>
      </c>
      <c r="R6" s="5">
        <f t="shared" ref="R6:R19" si="8">IF(ISNUMBER(Q6),O6-P6-Q6,O6-P6)</f>
        <v>18876.344086021505</v>
      </c>
    </row>
    <row r="7" spans="1:18" x14ac:dyDescent="0.3">
      <c r="A7" s="5" t="s">
        <v>17</v>
      </c>
      <c r="B7" s="5" t="s">
        <v>3</v>
      </c>
      <c r="C7" s="5" t="s">
        <v>89</v>
      </c>
      <c r="D7" s="5">
        <v>18000</v>
      </c>
      <c r="E7" s="5">
        <f>ATTENDANCE!AJ11</f>
        <v>31</v>
      </c>
      <c r="F7" s="5">
        <f>SUM(ATTENDANCE!AK11:AM11)</f>
        <v>4</v>
      </c>
      <c r="G7" s="5">
        <f t="shared" si="0"/>
        <v>580.64516129032256</v>
      </c>
      <c r="H7" s="5">
        <f t="shared" si="1"/>
        <v>2322.5806451612902</v>
      </c>
      <c r="I7" s="5">
        <f t="shared" si="2"/>
        <v>2160</v>
      </c>
      <c r="J7" s="5" t="s">
        <v>94</v>
      </c>
      <c r="K7" s="5">
        <f t="shared" si="3"/>
        <v>7200</v>
      </c>
      <c r="L7" s="5">
        <v>1000</v>
      </c>
      <c r="M7" s="61">
        <v>23</v>
      </c>
      <c r="N7" s="5">
        <f t="shared" si="4"/>
        <v>1483.8709677419354</v>
      </c>
      <c r="O7" s="5">
        <f t="shared" si="5"/>
        <v>14747.096774193549</v>
      </c>
      <c r="P7" s="5">
        <f t="shared" si="6"/>
        <v>2160</v>
      </c>
      <c r="Q7" s="62">
        <f t="shared" si="7"/>
        <v>110.60322580645162</v>
      </c>
      <c r="R7" s="5">
        <f t="shared" si="8"/>
        <v>12476.493548387098</v>
      </c>
    </row>
    <row r="8" spans="1:18" x14ac:dyDescent="0.3">
      <c r="A8" s="5" t="s">
        <v>18</v>
      </c>
      <c r="B8" s="5" t="s">
        <v>4</v>
      </c>
      <c r="C8" s="5" t="s">
        <v>90</v>
      </c>
      <c r="D8" s="5">
        <v>15000</v>
      </c>
      <c r="E8" s="5">
        <f>ATTENDANCE!AJ12</f>
        <v>31</v>
      </c>
      <c r="F8" s="5">
        <f>SUM(ATTENDANCE!AK12:AM12)</f>
        <v>4</v>
      </c>
      <c r="G8" s="5">
        <f t="shared" si="0"/>
        <v>483.87096774193549</v>
      </c>
      <c r="H8" s="5">
        <f t="shared" si="1"/>
        <v>1935.483870967742</v>
      </c>
      <c r="I8" s="5">
        <f t="shared" si="2"/>
        <v>1800</v>
      </c>
      <c r="J8" s="5" t="s">
        <v>94</v>
      </c>
      <c r="K8" s="5">
        <f t="shared" si="3"/>
        <v>6000</v>
      </c>
      <c r="L8" s="5">
        <v>2000</v>
      </c>
      <c r="M8" s="61">
        <v>15</v>
      </c>
      <c r="N8" s="5">
        <f t="shared" si="4"/>
        <v>806.45161290322585</v>
      </c>
      <c r="O8" s="5">
        <f t="shared" si="5"/>
        <v>13025.806451612903</v>
      </c>
      <c r="P8" s="5">
        <f t="shared" si="6"/>
        <v>1800</v>
      </c>
      <c r="Q8" s="62">
        <f t="shared" si="7"/>
        <v>97.693548387096769</v>
      </c>
      <c r="R8" s="5">
        <f t="shared" si="8"/>
        <v>11128.112903225807</v>
      </c>
    </row>
    <row r="9" spans="1:18" x14ac:dyDescent="0.3">
      <c r="A9" s="5" t="s">
        <v>19</v>
      </c>
      <c r="B9" s="5" t="s">
        <v>5</v>
      </c>
      <c r="C9" s="5" t="s">
        <v>90</v>
      </c>
      <c r="D9" s="5">
        <v>15000</v>
      </c>
      <c r="E9" s="5">
        <f>ATTENDANCE!AJ13</f>
        <v>31</v>
      </c>
      <c r="F9" s="5">
        <f>SUM(ATTENDANCE!AK13:AM13)</f>
        <v>4</v>
      </c>
      <c r="G9" s="5">
        <f t="shared" si="0"/>
        <v>483.87096774193549</v>
      </c>
      <c r="H9" s="5">
        <f t="shared" si="1"/>
        <v>1935.483870967742</v>
      </c>
      <c r="I9" s="5">
        <f t="shared" si="2"/>
        <v>1800</v>
      </c>
      <c r="J9" s="5" t="s">
        <v>93</v>
      </c>
      <c r="K9" s="5">
        <f t="shared" si="3"/>
        <v>7500</v>
      </c>
      <c r="L9" s="5">
        <v>2000</v>
      </c>
      <c r="M9" s="61">
        <v>16</v>
      </c>
      <c r="N9" s="5">
        <f t="shared" si="4"/>
        <v>860.21505376344089</v>
      </c>
      <c r="O9" s="5">
        <f t="shared" si="5"/>
        <v>14579.569892473119</v>
      </c>
      <c r="P9" s="5">
        <f t="shared" si="6"/>
        <v>1800</v>
      </c>
      <c r="Q9" s="62">
        <f t="shared" si="7"/>
        <v>109.34677419354838</v>
      </c>
      <c r="R9" s="5">
        <f t="shared" si="8"/>
        <v>12670.223118279569</v>
      </c>
    </row>
    <row r="10" spans="1:18" x14ac:dyDescent="0.3">
      <c r="A10" s="5" t="s">
        <v>20</v>
      </c>
      <c r="B10" s="5" t="s">
        <v>6</v>
      </c>
      <c r="C10" s="5" t="s">
        <v>90</v>
      </c>
      <c r="D10" s="5">
        <v>15000</v>
      </c>
      <c r="E10" s="5">
        <f>ATTENDANCE!AJ14</f>
        <v>31</v>
      </c>
      <c r="F10" s="5">
        <f>SUM(ATTENDANCE!AK14:AM14)</f>
        <v>4</v>
      </c>
      <c r="G10" s="5">
        <f t="shared" si="0"/>
        <v>483.87096774193549</v>
      </c>
      <c r="H10" s="5">
        <f t="shared" si="1"/>
        <v>1935.483870967742</v>
      </c>
      <c r="I10" s="5">
        <f t="shared" si="2"/>
        <v>1800</v>
      </c>
      <c r="J10" s="5" t="s">
        <v>93</v>
      </c>
      <c r="K10" s="5">
        <f t="shared" si="3"/>
        <v>7500</v>
      </c>
      <c r="L10" s="5">
        <v>2000</v>
      </c>
      <c r="M10" s="61">
        <v>19</v>
      </c>
      <c r="N10" s="5">
        <f t="shared" si="4"/>
        <v>1021.505376344086</v>
      </c>
      <c r="O10" s="5">
        <f t="shared" si="5"/>
        <v>14740.860215053764</v>
      </c>
      <c r="P10" s="5">
        <f t="shared" si="6"/>
        <v>1800</v>
      </c>
      <c r="Q10" s="62">
        <f t="shared" si="7"/>
        <v>110.55645161290323</v>
      </c>
      <c r="R10" s="5">
        <f t="shared" si="8"/>
        <v>12830.303763440861</v>
      </c>
    </row>
    <row r="11" spans="1:18" x14ac:dyDescent="0.3">
      <c r="A11" s="5" t="s">
        <v>21</v>
      </c>
      <c r="B11" s="5" t="s">
        <v>7</v>
      </c>
      <c r="C11" s="5" t="s">
        <v>91</v>
      </c>
      <c r="D11" s="5">
        <v>12000</v>
      </c>
      <c r="E11" s="5">
        <f>ATTENDANCE!AJ15</f>
        <v>31</v>
      </c>
      <c r="F11" s="5">
        <f>SUM(ATTENDANCE!AK15:AM15)</f>
        <v>4</v>
      </c>
      <c r="G11" s="5">
        <f t="shared" si="0"/>
        <v>387.09677419354841</v>
      </c>
      <c r="H11" s="5">
        <f t="shared" si="1"/>
        <v>1548.3870967741937</v>
      </c>
      <c r="I11" s="5">
        <f t="shared" si="2"/>
        <v>1440</v>
      </c>
      <c r="J11" s="5" t="s">
        <v>93</v>
      </c>
      <c r="K11" s="5">
        <f t="shared" si="3"/>
        <v>6000</v>
      </c>
      <c r="L11" s="5">
        <v>2000</v>
      </c>
      <c r="M11" s="61">
        <v>15</v>
      </c>
      <c r="N11" s="5">
        <f t="shared" si="4"/>
        <v>645.16129032258073</v>
      </c>
      <c r="O11" s="5">
        <f t="shared" si="5"/>
        <v>12020.645161290324</v>
      </c>
      <c r="P11" s="5">
        <f t="shared" si="6"/>
        <v>1440</v>
      </c>
      <c r="Q11" s="62">
        <f t="shared" si="7"/>
        <v>90.154838709677421</v>
      </c>
      <c r="R11" s="5">
        <f t="shared" si="8"/>
        <v>10490.490322580647</v>
      </c>
    </row>
    <row r="12" spans="1:18" x14ac:dyDescent="0.3">
      <c r="A12" s="5" t="s">
        <v>22</v>
      </c>
      <c r="B12" s="5" t="s">
        <v>8</v>
      </c>
      <c r="C12" s="5" t="s">
        <v>91</v>
      </c>
      <c r="D12" s="5">
        <v>12000</v>
      </c>
      <c r="E12" s="5">
        <f>ATTENDANCE!AJ16</f>
        <v>31</v>
      </c>
      <c r="F12" s="5">
        <f>SUM(ATTENDANCE!AK16:AM16)</f>
        <v>4</v>
      </c>
      <c r="G12" s="5">
        <f t="shared" si="0"/>
        <v>387.09677419354841</v>
      </c>
      <c r="H12" s="5">
        <f t="shared" si="1"/>
        <v>1548.3870967741937</v>
      </c>
      <c r="I12" s="5">
        <f t="shared" si="2"/>
        <v>1440</v>
      </c>
      <c r="J12" s="5" t="s">
        <v>94</v>
      </c>
      <c r="K12" s="5">
        <f t="shared" si="3"/>
        <v>4800</v>
      </c>
      <c r="L12" s="5">
        <v>1000</v>
      </c>
      <c r="M12" s="61">
        <v>24</v>
      </c>
      <c r="N12" s="5">
        <f t="shared" si="4"/>
        <v>1032.2580645161293</v>
      </c>
      <c r="O12" s="5">
        <f t="shared" si="5"/>
        <v>10207.741935483871</v>
      </c>
      <c r="P12" s="5">
        <f t="shared" si="6"/>
        <v>1440</v>
      </c>
      <c r="Q12" s="62">
        <f t="shared" si="7"/>
        <v>76.558064516129036</v>
      </c>
      <c r="R12" s="5">
        <f t="shared" si="8"/>
        <v>8691.1838709677413</v>
      </c>
    </row>
    <row r="13" spans="1:18" x14ac:dyDescent="0.3">
      <c r="A13" s="5" t="s">
        <v>23</v>
      </c>
      <c r="B13" s="5" t="s">
        <v>9</v>
      </c>
      <c r="C13" s="5" t="s">
        <v>91</v>
      </c>
      <c r="D13" s="5">
        <v>12000</v>
      </c>
      <c r="E13" s="5">
        <f>ATTENDANCE!AJ17</f>
        <v>31</v>
      </c>
      <c r="F13" s="5">
        <f>SUM(ATTENDANCE!AK17:AM17)</f>
        <v>4</v>
      </c>
      <c r="G13" s="5">
        <f t="shared" si="0"/>
        <v>387.09677419354841</v>
      </c>
      <c r="H13" s="5">
        <f t="shared" si="1"/>
        <v>1548.3870967741937</v>
      </c>
      <c r="I13" s="5">
        <f t="shared" si="2"/>
        <v>1440</v>
      </c>
      <c r="J13" s="5" t="s">
        <v>94</v>
      </c>
      <c r="K13" s="5">
        <f t="shared" si="3"/>
        <v>4800</v>
      </c>
      <c r="L13" s="5">
        <v>2000</v>
      </c>
      <c r="M13" s="61">
        <v>25</v>
      </c>
      <c r="N13" s="5">
        <f t="shared" si="4"/>
        <v>1075.2688172043013</v>
      </c>
      <c r="O13" s="5">
        <f t="shared" si="5"/>
        <v>11250.752688172044</v>
      </c>
      <c r="P13" s="5">
        <f t="shared" si="6"/>
        <v>1440</v>
      </c>
      <c r="Q13" s="62">
        <f t="shared" si="7"/>
        <v>84.380645161290332</v>
      </c>
      <c r="R13" s="5">
        <f t="shared" si="8"/>
        <v>9726.3720430107533</v>
      </c>
    </row>
    <row r="14" spans="1:18" x14ac:dyDescent="0.3">
      <c r="A14" s="5" t="s">
        <v>24</v>
      </c>
      <c r="B14" s="5" t="s">
        <v>10</v>
      </c>
      <c r="C14" s="5" t="s">
        <v>91</v>
      </c>
      <c r="D14" s="5">
        <v>12000</v>
      </c>
      <c r="E14" s="5">
        <f>ATTENDANCE!AJ18</f>
        <v>31</v>
      </c>
      <c r="F14" s="5">
        <f>SUM(ATTENDANCE!AK18:AM18)</f>
        <v>4</v>
      </c>
      <c r="G14" s="5">
        <f t="shared" si="0"/>
        <v>387.09677419354841</v>
      </c>
      <c r="H14" s="5">
        <f t="shared" si="1"/>
        <v>1548.3870967741937</v>
      </c>
      <c r="I14" s="5">
        <f t="shared" si="2"/>
        <v>1440</v>
      </c>
      <c r="J14" s="5" t="s">
        <v>93</v>
      </c>
      <c r="K14" s="5">
        <f t="shared" si="3"/>
        <v>6000</v>
      </c>
      <c r="L14" s="5">
        <v>1000</v>
      </c>
      <c r="M14" s="61">
        <v>35</v>
      </c>
      <c r="N14" s="5">
        <f t="shared" si="4"/>
        <v>1505.3763440860216</v>
      </c>
      <c r="O14" s="5">
        <f t="shared" si="5"/>
        <v>11880.860215053764</v>
      </c>
      <c r="P14" s="5">
        <f t="shared" si="6"/>
        <v>1440</v>
      </c>
      <c r="Q14" s="62">
        <f t="shared" si="7"/>
        <v>89.106451612903228</v>
      </c>
      <c r="R14" s="5">
        <f t="shared" si="8"/>
        <v>10351.753763440862</v>
      </c>
    </row>
    <row r="15" spans="1:18" x14ac:dyDescent="0.3">
      <c r="A15" s="5" t="s">
        <v>25</v>
      </c>
      <c r="B15" s="5" t="s">
        <v>11</v>
      </c>
      <c r="C15" s="5" t="s">
        <v>91</v>
      </c>
      <c r="D15" s="5">
        <v>10000</v>
      </c>
      <c r="E15" s="5">
        <f>ATTENDANCE!AJ19</f>
        <v>31</v>
      </c>
      <c r="F15" s="5">
        <f>SUM(ATTENDANCE!AK19:AM19)</f>
        <v>4</v>
      </c>
      <c r="G15" s="5">
        <f t="shared" si="0"/>
        <v>322.58064516129031</v>
      </c>
      <c r="H15" s="5">
        <f t="shared" si="1"/>
        <v>1290.3225806451612</v>
      </c>
      <c r="I15" s="5">
        <f t="shared" si="2"/>
        <v>1200</v>
      </c>
      <c r="J15" s="5" t="s">
        <v>94</v>
      </c>
      <c r="K15" s="5">
        <f t="shared" si="3"/>
        <v>4000</v>
      </c>
      <c r="L15" s="5">
        <v>2000</v>
      </c>
      <c r="M15" s="61">
        <v>26</v>
      </c>
      <c r="N15" s="5">
        <f t="shared" si="4"/>
        <v>931.89964157706095</v>
      </c>
      <c r="O15" s="5">
        <f t="shared" si="5"/>
        <v>9744.8028673835124</v>
      </c>
      <c r="P15" s="5">
        <f t="shared" si="6"/>
        <v>1200</v>
      </c>
      <c r="Q15" s="62">
        <f t="shared" si="7"/>
        <v>73.086021505376337</v>
      </c>
      <c r="R15" s="5">
        <f t="shared" si="8"/>
        <v>8471.7168458781362</v>
      </c>
    </row>
    <row r="16" spans="1:18" x14ac:dyDescent="0.3">
      <c r="A16" s="5" t="s">
        <v>26</v>
      </c>
      <c r="B16" s="5" t="s">
        <v>12</v>
      </c>
      <c r="C16" s="5" t="s">
        <v>92</v>
      </c>
      <c r="D16" s="5">
        <v>10000</v>
      </c>
      <c r="E16" s="5">
        <f>ATTENDANCE!AJ20</f>
        <v>31</v>
      </c>
      <c r="F16" s="5">
        <f>SUM(ATTENDANCE!AK20:AM20)</f>
        <v>4</v>
      </c>
      <c r="G16" s="5">
        <f t="shared" si="0"/>
        <v>322.58064516129031</v>
      </c>
      <c r="H16" s="5">
        <f t="shared" si="1"/>
        <v>1290.3225806451612</v>
      </c>
      <c r="I16" s="5">
        <f t="shared" si="2"/>
        <v>1200</v>
      </c>
      <c r="J16" s="5" t="s">
        <v>94</v>
      </c>
      <c r="K16" s="5">
        <f t="shared" si="3"/>
        <v>4000</v>
      </c>
      <c r="L16" s="5">
        <v>1000</v>
      </c>
      <c r="M16" s="61">
        <v>16</v>
      </c>
      <c r="N16" s="5">
        <f t="shared" si="4"/>
        <v>573.47670250896056</v>
      </c>
      <c r="O16" s="5">
        <f t="shared" si="5"/>
        <v>8386.3799283154131</v>
      </c>
      <c r="P16" s="5">
        <f t="shared" si="6"/>
        <v>1200</v>
      </c>
      <c r="Q16" s="62">
        <f t="shared" si="7"/>
        <v>62.897849462365599</v>
      </c>
      <c r="R16" s="5">
        <f t="shared" si="8"/>
        <v>7123.4820788530478</v>
      </c>
    </row>
    <row r="17" spans="1:18" x14ac:dyDescent="0.3">
      <c r="A17" s="5" t="s">
        <v>27</v>
      </c>
      <c r="B17" s="5" t="s">
        <v>13</v>
      </c>
      <c r="C17" s="5" t="s">
        <v>92</v>
      </c>
      <c r="D17" s="5">
        <v>10000</v>
      </c>
      <c r="E17" s="5">
        <f>ATTENDANCE!AJ21</f>
        <v>31</v>
      </c>
      <c r="F17" s="5">
        <f>SUM(ATTENDANCE!AK21:AM21)</f>
        <v>4</v>
      </c>
      <c r="G17" s="5">
        <f t="shared" si="0"/>
        <v>322.58064516129031</v>
      </c>
      <c r="H17" s="5">
        <f t="shared" si="1"/>
        <v>1290.3225806451612</v>
      </c>
      <c r="I17" s="5">
        <f t="shared" si="2"/>
        <v>1200</v>
      </c>
      <c r="J17" s="5" t="s">
        <v>93</v>
      </c>
      <c r="K17" s="5">
        <f t="shared" si="3"/>
        <v>5000</v>
      </c>
      <c r="L17" s="5">
        <v>2000</v>
      </c>
      <c r="M17" s="61">
        <v>13</v>
      </c>
      <c r="N17" s="5">
        <f t="shared" si="4"/>
        <v>465.94982078853047</v>
      </c>
      <c r="O17" s="5">
        <f t="shared" si="5"/>
        <v>10278.853046594981</v>
      </c>
      <c r="P17" s="5">
        <f t="shared" si="6"/>
        <v>1200</v>
      </c>
      <c r="Q17" s="62">
        <f t="shared" si="7"/>
        <v>77.091397849462354</v>
      </c>
      <c r="R17" s="5">
        <f t="shared" si="8"/>
        <v>9001.761648745518</v>
      </c>
    </row>
    <row r="18" spans="1:18" x14ac:dyDescent="0.3">
      <c r="A18" s="5" t="s">
        <v>28</v>
      </c>
      <c r="B18" s="5" t="s">
        <v>14</v>
      </c>
      <c r="C18" s="5" t="s">
        <v>92</v>
      </c>
      <c r="D18" s="5">
        <v>10000</v>
      </c>
      <c r="E18" s="5">
        <f>ATTENDANCE!AJ22</f>
        <v>31</v>
      </c>
      <c r="F18" s="5">
        <f>SUM(ATTENDANCE!AK22:AM22)</f>
        <v>4</v>
      </c>
      <c r="G18" s="5">
        <f t="shared" si="0"/>
        <v>322.58064516129031</v>
      </c>
      <c r="H18" s="5">
        <f t="shared" si="1"/>
        <v>1290.3225806451612</v>
      </c>
      <c r="I18" s="5">
        <f t="shared" si="2"/>
        <v>1200</v>
      </c>
      <c r="J18" s="5" t="s">
        <v>93</v>
      </c>
      <c r="K18" s="5">
        <f t="shared" si="3"/>
        <v>5000</v>
      </c>
      <c r="L18" s="5">
        <v>2000</v>
      </c>
      <c r="M18" s="61">
        <v>15</v>
      </c>
      <c r="N18" s="5">
        <f t="shared" si="4"/>
        <v>537.63440860215053</v>
      </c>
      <c r="O18" s="5">
        <f t="shared" si="5"/>
        <v>10350.537634408602</v>
      </c>
      <c r="P18" s="5">
        <f t="shared" si="6"/>
        <v>1200</v>
      </c>
      <c r="Q18" s="62">
        <f t="shared" si="7"/>
        <v>77.629032258064512</v>
      </c>
      <c r="R18" s="5">
        <f t="shared" si="8"/>
        <v>9072.9086021505373</v>
      </c>
    </row>
    <row r="19" spans="1:18" x14ac:dyDescent="0.3">
      <c r="A19" s="5" t="s">
        <v>29</v>
      </c>
      <c r="B19" s="5" t="s">
        <v>15</v>
      </c>
      <c r="C19" s="5" t="s">
        <v>92</v>
      </c>
      <c r="D19" s="5">
        <v>10000</v>
      </c>
      <c r="E19" s="5">
        <f>ATTENDANCE!AJ23</f>
        <v>31</v>
      </c>
      <c r="F19" s="5">
        <f>SUM(ATTENDANCE!AK23:AM23)</f>
        <v>4</v>
      </c>
      <c r="G19" s="5">
        <f t="shared" si="0"/>
        <v>322.58064516129031</v>
      </c>
      <c r="H19" s="5">
        <f t="shared" si="1"/>
        <v>1290.3225806451612</v>
      </c>
      <c r="I19" s="5">
        <f t="shared" si="2"/>
        <v>1200</v>
      </c>
      <c r="J19" s="5" t="s">
        <v>93</v>
      </c>
      <c r="K19" s="5">
        <f t="shared" si="3"/>
        <v>5000</v>
      </c>
      <c r="L19" s="5">
        <v>2000</v>
      </c>
      <c r="M19" s="61">
        <v>19</v>
      </c>
      <c r="N19" s="5">
        <f t="shared" si="4"/>
        <v>681.00358422939064</v>
      </c>
      <c r="O19" s="5">
        <f t="shared" si="5"/>
        <v>10493.906810035842</v>
      </c>
      <c r="P19" s="5">
        <f t="shared" si="6"/>
        <v>1200</v>
      </c>
      <c r="Q19" s="62">
        <f t="shared" si="7"/>
        <v>78.704301075268816</v>
      </c>
      <c r="R19" s="5">
        <f t="shared" si="8"/>
        <v>9215.2025089605722</v>
      </c>
    </row>
  </sheetData>
  <mergeCells count="2">
    <mergeCell ref="A1:N3"/>
    <mergeCell ref="O1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7195-5F3F-4555-8794-D37371F9AE2B}">
  <dimension ref="B2:I27"/>
  <sheetViews>
    <sheetView tabSelected="1" zoomScale="76" zoomScaleNormal="100" workbookViewId="0">
      <selection activeCell="K24" sqref="K24"/>
    </sheetView>
  </sheetViews>
  <sheetFormatPr defaultRowHeight="14.4" x14ac:dyDescent="0.3"/>
  <cols>
    <col min="2" max="2" width="2.21875" customWidth="1"/>
    <col min="5" max="5" width="11.88671875" customWidth="1"/>
    <col min="7" max="7" width="13.77734375" customWidth="1"/>
    <col min="8" max="8" width="12.5546875" bestFit="1" customWidth="1"/>
    <col min="9" max="9" width="2.44140625" customWidth="1"/>
  </cols>
  <sheetData>
    <row r="2" spans="2:9" x14ac:dyDescent="0.3">
      <c r="B2" s="23" t="s">
        <v>77</v>
      </c>
      <c r="C2" s="24"/>
      <c r="D2" s="24"/>
      <c r="E2" s="24"/>
      <c r="F2" s="24"/>
      <c r="G2" s="24"/>
      <c r="H2" s="24"/>
      <c r="I2" s="25"/>
    </row>
    <row r="3" spans="2:9" x14ac:dyDescent="0.3">
      <c r="B3" s="26"/>
      <c r="C3" s="37" t="s">
        <v>78</v>
      </c>
      <c r="D3" s="38"/>
      <c r="E3" s="38"/>
      <c r="F3" s="38"/>
      <c r="G3" s="38"/>
      <c r="H3" s="39"/>
      <c r="I3" s="28"/>
    </row>
    <row r="4" spans="2:9" x14ac:dyDescent="0.3">
      <c r="B4" s="26"/>
      <c r="C4" s="34" t="s">
        <v>79</v>
      </c>
      <c r="D4" s="27"/>
      <c r="E4" s="27"/>
      <c r="F4" s="27"/>
      <c r="G4" s="27"/>
      <c r="H4" s="33"/>
      <c r="I4" s="28"/>
    </row>
    <row r="5" spans="2:9" x14ac:dyDescent="0.3">
      <c r="B5" s="26"/>
      <c r="C5" s="35" t="s">
        <v>80</v>
      </c>
      <c r="D5" s="12"/>
      <c r="E5" s="12"/>
      <c r="F5" s="12"/>
      <c r="G5" s="12"/>
      <c r="H5" s="36"/>
      <c r="I5" s="28"/>
    </row>
    <row r="6" spans="2:9" x14ac:dyDescent="0.3">
      <c r="B6" s="26"/>
      <c r="C6" s="44"/>
      <c r="D6" s="44"/>
      <c r="E6" s="44"/>
      <c r="F6" s="44"/>
      <c r="G6" s="44"/>
      <c r="H6" s="44"/>
      <c r="I6" s="28"/>
    </row>
    <row r="7" spans="2:9" x14ac:dyDescent="0.3">
      <c r="B7" s="26"/>
      <c r="C7" s="45" t="s">
        <v>75</v>
      </c>
      <c r="D7" s="46"/>
      <c r="E7" s="47"/>
      <c r="F7" s="45" t="s">
        <v>76</v>
      </c>
      <c r="G7" s="46"/>
      <c r="H7" s="47"/>
      <c r="I7" s="28"/>
    </row>
    <row r="8" spans="2:9" x14ac:dyDescent="0.3">
      <c r="B8" s="26"/>
      <c r="C8" s="48" t="s">
        <v>81</v>
      </c>
      <c r="D8" s="49"/>
      <c r="E8" s="50" t="s">
        <v>21</v>
      </c>
      <c r="F8" s="48" t="s">
        <v>56</v>
      </c>
      <c r="G8" s="49"/>
      <c r="H8" s="53">
        <f>VLOOKUP(SLIP!$E$8,SALARY!$A$4:$R$19,MATCH(F8,SALARY!$A$4:$R$4,0))</f>
        <v>31</v>
      </c>
      <c r="I8" s="28"/>
    </row>
    <row r="9" spans="2:9" x14ac:dyDescent="0.3">
      <c r="B9" s="26"/>
      <c r="C9" s="51" t="s">
        <v>82</v>
      </c>
      <c r="D9" s="52"/>
      <c r="E9" s="53" t="str">
        <f>VLOOKUP(SLIP!$E$8,SALARY!$A$4:$R$19,MATCH(C9,SALARY!$A$4:$R$4,0))</f>
        <v>Arjun Patel</v>
      </c>
      <c r="F9" s="51" t="s">
        <v>57</v>
      </c>
      <c r="G9" s="52"/>
      <c r="H9" s="53">
        <f>VLOOKUP(SLIP!$E$8,SALARY!$A$4:$R$19,MATCH(F9,SALARY!$A$4:$R$4,0))</f>
        <v>4</v>
      </c>
      <c r="I9" s="28"/>
    </row>
    <row r="10" spans="2:9" x14ac:dyDescent="0.3">
      <c r="B10" s="26"/>
      <c r="C10" s="54" t="s">
        <v>54</v>
      </c>
      <c r="D10" s="55"/>
      <c r="E10" s="56" t="str">
        <f>VLOOKUP(SLIP!$E$8,SALARY!$A$4:$R$19,MATCH(C10,SALARY!$A$4:$R$4,0))</f>
        <v>Tech.</v>
      </c>
      <c r="F10" s="54" t="s">
        <v>83</v>
      </c>
      <c r="G10" s="55"/>
      <c r="H10" s="63">
        <f ca="1">TODAY()</f>
        <v>46192</v>
      </c>
      <c r="I10" s="28"/>
    </row>
    <row r="11" spans="2:9" x14ac:dyDescent="0.3">
      <c r="B11" s="26"/>
      <c r="C11" s="57"/>
      <c r="D11" s="57"/>
      <c r="E11" s="57"/>
      <c r="F11" s="57"/>
      <c r="G11" s="57"/>
      <c r="H11" s="57"/>
      <c r="I11" s="28"/>
    </row>
    <row r="12" spans="2:9" x14ac:dyDescent="0.3">
      <c r="B12" s="26"/>
      <c r="C12" s="58" t="s">
        <v>55</v>
      </c>
      <c r="D12" s="59"/>
      <c r="E12" s="60"/>
      <c r="F12" s="58"/>
      <c r="G12" s="59"/>
      <c r="H12" s="60"/>
      <c r="I12" s="28"/>
    </row>
    <row r="13" spans="2:9" x14ac:dyDescent="0.3">
      <c r="B13" s="26"/>
      <c r="C13" s="57"/>
      <c r="D13" s="57"/>
      <c r="E13" s="57"/>
      <c r="F13" s="57"/>
      <c r="G13" s="57"/>
      <c r="H13" s="57"/>
      <c r="I13" s="28"/>
    </row>
    <row r="14" spans="2:9" x14ac:dyDescent="0.3">
      <c r="B14" s="26"/>
      <c r="C14" s="58" t="s">
        <v>73</v>
      </c>
      <c r="D14" s="59"/>
      <c r="E14" s="60"/>
      <c r="F14" s="58" t="s">
        <v>74</v>
      </c>
      <c r="G14" s="59"/>
      <c r="H14" s="60"/>
      <c r="I14" s="28"/>
    </row>
    <row r="15" spans="2:9" x14ac:dyDescent="0.3">
      <c r="B15" s="26"/>
      <c r="C15" s="48" t="s">
        <v>59</v>
      </c>
      <c r="D15" s="49"/>
      <c r="E15" s="50">
        <f>VLOOKUP(SLIP!$E$8,SALARY!$A$4:$R$19,MATCH(C15,SALARY!$A$4:$R$4,0))</f>
        <v>1548.3870967741937</v>
      </c>
      <c r="F15" s="48" t="s">
        <v>67</v>
      </c>
      <c r="G15" s="49"/>
      <c r="H15" s="50">
        <f>VLOOKUP(SLIP!$E$8,SALARY!$A$4:$R$19,MATCH(F15,SALARY!$A$4:$R$4,0))</f>
        <v>1440</v>
      </c>
      <c r="I15" s="28"/>
    </row>
    <row r="16" spans="2:9" x14ac:dyDescent="0.3">
      <c r="B16" s="26"/>
      <c r="C16" s="51" t="s">
        <v>60</v>
      </c>
      <c r="D16" s="52"/>
      <c r="E16" s="53">
        <f>VLOOKUP(SLIP!$E$8,SALARY!$A$4:$R$19,MATCH(C16,SALARY!$A$4:$R$4,0))</f>
        <v>1440</v>
      </c>
      <c r="F16" s="51" t="s">
        <v>68</v>
      </c>
      <c r="G16" s="52"/>
      <c r="H16" s="53">
        <f>VLOOKUP(SLIP!$E$8,SALARY!$A$4:$R$19,MATCH(F16,SALARY!$A$4:$R$4,0))</f>
        <v>90.154838709677421</v>
      </c>
      <c r="I16" s="28"/>
    </row>
    <row r="17" spans="2:9" x14ac:dyDescent="0.3">
      <c r="B17" s="26"/>
      <c r="C17" s="51" t="s">
        <v>62</v>
      </c>
      <c r="D17" s="52"/>
      <c r="E17" s="53">
        <f>VLOOKUP(SLIP!$E$8,SALARY!$A$4:$R$19,MATCH(C17,SALARY!$A$4:$R$4,0))</f>
        <v>6000</v>
      </c>
      <c r="F17" s="51" t="s">
        <v>84</v>
      </c>
      <c r="G17" s="52"/>
      <c r="H17" s="53">
        <f>IFERROR(VLOOKUP(SLIP!$E$8,SALARY!$A$4:$R$19,MATCH(F17,SALARY!$A$4:$R$4,0),FALSE),0)</f>
        <v>0</v>
      </c>
      <c r="I17" s="28"/>
    </row>
    <row r="18" spans="2:9" x14ac:dyDescent="0.3">
      <c r="B18" s="26"/>
      <c r="C18" s="51" t="s">
        <v>63</v>
      </c>
      <c r="D18" s="52"/>
      <c r="E18" s="53">
        <f>VLOOKUP(SLIP!$E$8,SALARY!$A$4:$R$19,MATCH(C18,SALARY!$A$4:$R$4,0))</f>
        <v>2000</v>
      </c>
      <c r="F18" s="51" t="s">
        <v>85</v>
      </c>
      <c r="G18" s="52"/>
      <c r="H18" s="53">
        <f>IFERROR(VLOOKUP(SLIP!$E$8,SALARY!$A$4:$R$19,MATCH(F18,SALARY!$A$4:$R$4,0),FALSE),0)</f>
        <v>0</v>
      </c>
      <c r="I18" s="28"/>
    </row>
    <row r="19" spans="2:9" x14ac:dyDescent="0.3">
      <c r="B19" s="26"/>
      <c r="C19" s="51" t="s">
        <v>65</v>
      </c>
      <c r="D19" s="52"/>
      <c r="E19" s="53">
        <f>VLOOKUP(SLIP!$E$8,SALARY!$A$4:$R$19,MATCH(C19,SALARY!$A$4:$R$4,0))</f>
        <v>645.16129032258073</v>
      </c>
      <c r="F19" s="51"/>
      <c r="G19" s="52"/>
      <c r="H19" s="53"/>
      <c r="I19" s="28"/>
    </row>
    <row r="20" spans="2:9" x14ac:dyDescent="0.3">
      <c r="B20" s="26"/>
      <c r="C20" s="54" t="s">
        <v>66</v>
      </c>
      <c r="D20" s="55"/>
      <c r="E20" s="56">
        <f>SUM(E15:E19)</f>
        <v>11633.548387096775</v>
      </c>
      <c r="F20" s="54" t="s">
        <v>86</v>
      </c>
      <c r="G20" s="55"/>
      <c r="H20" s="56">
        <f>SUM(H15:H18)</f>
        <v>1530.1548387096775</v>
      </c>
      <c r="I20" s="28"/>
    </row>
    <row r="21" spans="2:9" x14ac:dyDescent="0.3">
      <c r="B21" s="26"/>
      <c r="C21" s="29"/>
      <c r="D21" s="29"/>
      <c r="E21" s="29"/>
      <c r="F21" s="29"/>
      <c r="G21" s="29"/>
      <c r="H21" s="29"/>
      <c r="I21" s="28"/>
    </row>
    <row r="22" spans="2:9" x14ac:dyDescent="0.3">
      <c r="B22" s="26"/>
      <c r="C22" s="40" t="s">
        <v>69</v>
      </c>
      <c r="D22" s="41"/>
      <c r="E22" s="42"/>
      <c r="F22" s="40"/>
      <c r="G22" s="41"/>
      <c r="H22" s="42"/>
      <c r="I22" s="28"/>
    </row>
    <row r="23" spans="2:9" x14ac:dyDescent="0.3">
      <c r="B23" s="26"/>
      <c r="C23" s="29"/>
      <c r="D23" s="29"/>
      <c r="E23" s="29"/>
      <c r="F23" s="29"/>
      <c r="G23" s="29"/>
      <c r="H23" s="29"/>
      <c r="I23" s="28"/>
    </row>
    <row r="24" spans="2:9" x14ac:dyDescent="0.3">
      <c r="B24" s="26"/>
      <c r="C24" s="27" t="s">
        <v>72</v>
      </c>
      <c r="D24" s="27"/>
      <c r="E24" s="31"/>
      <c r="F24" s="27" t="s">
        <v>71</v>
      </c>
      <c r="G24" s="27"/>
      <c r="H24" s="31"/>
      <c r="I24" s="28"/>
    </row>
    <row r="25" spans="2:9" x14ac:dyDescent="0.3">
      <c r="B25" s="26"/>
      <c r="C25" s="29"/>
      <c r="D25" s="29"/>
      <c r="E25" s="29"/>
      <c r="F25" s="29"/>
      <c r="G25" s="29"/>
      <c r="H25" s="29"/>
      <c r="I25" s="28"/>
    </row>
    <row r="26" spans="2:9" x14ac:dyDescent="0.3">
      <c r="B26" s="26"/>
      <c r="C26" s="43" t="s">
        <v>70</v>
      </c>
      <c r="D26" s="43"/>
      <c r="E26" s="43"/>
      <c r="F26" s="43"/>
      <c r="G26" s="43"/>
      <c r="H26" s="43"/>
      <c r="I26" s="28"/>
    </row>
    <row r="27" spans="2:9" x14ac:dyDescent="0.3">
      <c r="B27" s="30"/>
      <c r="C27" s="31"/>
      <c r="D27" s="31"/>
      <c r="E27" s="31"/>
      <c r="F27" s="31"/>
      <c r="G27" s="31"/>
      <c r="H27" s="31"/>
      <c r="I27" s="32"/>
    </row>
  </sheetData>
  <mergeCells count="33">
    <mergeCell ref="F10:G10"/>
    <mergeCell ref="C22:E22"/>
    <mergeCell ref="F22:H22"/>
    <mergeCell ref="C24:D24"/>
    <mergeCell ref="F24:G24"/>
    <mergeCell ref="C26:H26"/>
    <mergeCell ref="C4:H4"/>
    <mergeCell ref="C5:H5"/>
    <mergeCell ref="C8:D8"/>
    <mergeCell ref="C9:D9"/>
    <mergeCell ref="C19:D19"/>
    <mergeCell ref="C20:D20"/>
    <mergeCell ref="F15:G15"/>
    <mergeCell ref="F16:G16"/>
    <mergeCell ref="F17:G17"/>
    <mergeCell ref="F18:G18"/>
    <mergeCell ref="F19:G19"/>
    <mergeCell ref="F20:G20"/>
    <mergeCell ref="C14:E14"/>
    <mergeCell ref="F14:H14"/>
    <mergeCell ref="C15:D15"/>
    <mergeCell ref="C16:D16"/>
    <mergeCell ref="C17:D17"/>
    <mergeCell ref="C18:D18"/>
    <mergeCell ref="C7:E7"/>
    <mergeCell ref="F7:H7"/>
    <mergeCell ref="C12:E12"/>
    <mergeCell ref="F12:H12"/>
    <mergeCell ref="C10:D10"/>
    <mergeCell ref="F8:G8"/>
    <mergeCell ref="F9:G9"/>
    <mergeCell ref="B2:I2"/>
    <mergeCell ref="C3:H3"/>
  </mergeCell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D6226E-BC7E-4549-A503-3A4046C9C445}">
          <x14:formula1>
            <xm:f>ATTENDANCE!$C$9:$C$23</xm:f>
          </x14:formula1>
          <xm:sqref>E8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ATTENDANCE</vt:lpstr>
      <vt:lpstr>SALARY</vt:lpstr>
      <vt:lpstr>SLIP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MUNENDRA SINGH</dc:creator>
  <cp:lastModifiedBy>MUNENDRA SINGH</cp:lastModifiedBy>
  <cp:lastPrinted>2026-06-19T08:25:56Z</cp:lastPrinted>
  <dcterms:created xsi:type="dcterms:W3CDTF">2026-06-14T13:14:44Z</dcterms:created>
  <dcterms:modified xsi:type="dcterms:W3CDTF">2026-06-19T08:29:01Z</dcterms:modified>
</cp:coreProperties>
</file>